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draker/Documents/Documents - iMac (486)/Mather homestead/Financials/Budget 2022/"/>
    </mc:Choice>
  </mc:AlternateContent>
  <xr:revisionPtr revIDLastSave="0" documentId="13_ncr:1_{62045884-FC00-7C46-8FDE-58CAC5FF96E1}" xr6:coauthVersionLast="36" xr6:coauthVersionMax="47" xr10:uidLastSave="{00000000-0000-0000-0000-000000000000}"/>
  <bookViews>
    <workbookView xWindow="-40" yWindow="2260" windowWidth="28880" windowHeight="16480" activeTab="1" xr2:uid="{00000000-000D-0000-FFFF-FFFF00000000}"/>
  </bookViews>
  <sheets>
    <sheet name="2022 Draft Budget" sheetId="1" r:id="rId1"/>
    <sheet name="General maintenance" sheetId="2" r:id="rId2"/>
  </sheets>
  <calcPr calcId="181029"/>
</workbook>
</file>

<file path=xl/calcChain.xml><?xml version="1.0" encoding="utf-8"?>
<calcChain xmlns="http://schemas.openxmlformats.org/spreadsheetml/2006/main">
  <c r="B8" i="2" l="1"/>
  <c r="E55" i="1"/>
  <c r="H99" i="1"/>
  <c r="F42" i="1"/>
  <c r="E86" i="1" l="1"/>
  <c r="E27" i="1"/>
  <c r="E99" i="1" l="1"/>
  <c r="D99" i="1"/>
  <c r="E84" i="1" l="1"/>
  <c r="E37" i="1"/>
  <c r="B121" i="1" l="1"/>
  <c r="C121" i="1"/>
  <c r="F12" i="1"/>
  <c r="E107" i="1" l="1"/>
  <c r="E89" i="1"/>
  <c r="E82" i="1"/>
  <c r="E78" i="1"/>
  <c r="E66" i="1"/>
  <c r="D27" i="1"/>
  <c r="F99" i="1" s="1"/>
  <c r="G99" i="1"/>
  <c r="D17" i="1"/>
  <c r="E52" i="1"/>
  <c r="D116" i="1"/>
  <c r="D117" i="1" s="1"/>
  <c r="D118" i="1" s="1"/>
  <c r="D107" i="1"/>
  <c r="D102" i="1"/>
  <c r="D89" i="1"/>
  <c r="D82" i="1"/>
  <c r="D78" i="1"/>
  <c r="D66" i="1"/>
  <c r="D58" i="1"/>
  <c r="D52" i="1"/>
  <c r="D44" i="1"/>
  <c r="D38" i="1"/>
  <c r="D36" i="1"/>
  <c r="D29" i="1"/>
  <c r="D34" i="1" s="1"/>
  <c r="D10" i="1"/>
  <c r="D13" i="1" s="1"/>
  <c r="E102" i="1"/>
  <c r="E38" i="1"/>
  <c r="E36" i="1"/>
  <c r="E34" i="1"/>
  <c r="E10" i="1"/>
  <c r="E13" i="1" s="1"/>
  <c r="D121" i="1" l="1"/>
  <c r="E39" i="1"/>
  <c r="E58" i="1"/>
  <c r="E121" i="1" s="1"/>
  <c r="E125" i="1" s="1"/>
  <c r="E127" i="1" s="1"/>
  <c r="F13" i="1"/>
  <c r="D39" i="1"/>
  <c r="D45" i="1" s="1"/>
  <c r="D46" i="1" s="1"/>
  <c r="D108" i="1"/>
  <c r="E116" i="1"/>
  <c r="E117" i="1" s="1"/>
  <c r="E17" i="1"/>
  <c r="E44" i="1"/>
  <c r="E108" i="1" l="1"/>
  <c r="D109" i="1"/>
  <c r="D119" i="1" s="1"/>
  <c r="E118" i="1"/>
  <c r="E45" i="1"/>
  <c r="E46" i="1" l="1"/>
  <c r="E109" i="1" s="1"/>
  <c r="E11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Maria DiPierro</author>
  </authors>
  <commentList>
    <comment ref="E55" authorId="0" shapeId="0" xr:uid="{9CE48D76-A77A-4381-B463-2E416D29F20E}">
      <text>
        <r>
          <rPr>
            <b/>
            <sz val="9"/>
            <color rgb="FF000000"/>
            <rFont val="Tahoma"/>
            <family val="2"/>
          </rPr>
          <t>Maria DiPierro: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grant related expenses</t>
        </r>
      </text>
    </comment>
    <comment ref="E56" authorId="0" shapeId="0" xr:uid="{B3F7E5EC-EDB6-4964-8AD0-7B17A42820A2}">
      <text>
        <r>
          <rPr>
            <b/>
            <sz val="9"/>
            <color rgb="FF000000"/>
            <rFont val="Tahoma"/>
            <family val="2"/>
          </rPr>
          <t>Maria DiPierro: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Kelly Dupont
</t>
        </r>
      </text>
    </comment>
  </commentList>
</comments>
</file>

<file path=xl/sharedStrings.xml><?xml version="1.0" encoding="utf-8"?>
<sst xmlns="http://schemas.openxmlformats.org/spreadsheetml/2006/main" count="153" uniqueCount="149">
  <si>
    <t>Budget</t>
  </si>
  <si>
    <t>Income</t>
  </si>
  <si>
    <t xml:space="preserve">   41400 Direct Public Support</t>
  </si>
  <si>
    <t xml:space="preserve">      41440 Gifts in Kind - Goods</t>
  </si>
  <si>
    <t xml:space="preserve">      41450 General Donations</t>
  </si>
  <si>
    <t xml:space="preserve">      41460 Annual Appeal</t>
  </si>
  <si>
    <t xml:space="preserve">   Total 41400 Direct Public Support</t>
  </si>
  <si>
    <t xml:space="preserve">   41500 Restricted Gifts</t>
  </si>
  <si>
    <t xml:space="preserve">      41510 Barn Capital Campaign</t>
  </si>
  <si>
    <t xml:space="preserve">      41520 Beautification</t>
  </si>
  <si>
    <t xml:space="preserve">   Total 41500 Restricted Gifts</t>
  </si>
  <si>
    <t xml:space="preserve">   42000 Mather Events</t>
  </si>
  <si>
    <t xml:space="preserve">      42100 Lecture Events</t>
  </si>
  <si>
    <t xml:space="preserve">      42250 Tea in the Garden</t>
  </si>
  <si>
    <t xml:space="preserve">      42300 Other Events</t>
  </si>
  <si>
    <t xml:space="preserve">      42350 Holiday Events</t>
  </si>
  <si>
    <t xml:space="preserve">      42400 Yoga</t>
  </si>
  <si>
    <t xml:space="preserve">      42500 Music Events</t>
  </si>
  <si>
    <t xml:space="preserve">      42600 Barn Events</t>
  </si>
  <si>
    <t xml:space="preserve">   Total 42000 Mather Events</t>
  </si>
  <si>
    <t xml:space="preserve">   43000 Grants</t>
  </si>
  <si>
    <t xml:space="preserve">      43100 Unrestricted Grants</t>
  </si>
  <si>
    <t xml:space="preserve">   Total 43000 Grants</t>
  </si>
  <si>
    <t xml:space="preserve">   46400 Other Types of Revenue</t>
  </si>
  <si>
    <t xml:space="preserve">      46410 Rental Income for Cottage</t>
  </si>
  <si>
    <t xml:space="preserve">      46430 Miscellaneous Revenue</t>
  </si>
  <si>
    <t xml:space="preserve">   Total 46400 Other Types of Revenue</t>
  </si>
  <si>
    <t xml:space="preserve">   47200 Program Revenue</t>
  </si>
  <si>
    <t xml:space="preserve">      47230 Tours &amp; Other Educational Programs</t>
  </si>
  <si>
    <t xml:space="preserve">      47240 Third Party Program Revenue</t>
  </si>
  <si>
    <t xml:space="preserve">      47250 Membership</t>
  </si>
  <si>
    <t xml:space="preserve">   Total 47200 Program Revenue</t>
  </si>
  <si>
    <t>Expenses</t>
  </si>
  <si>
    <t xml:space="preserve">   60900 Business Expenses</t>
  </si>
  <si>
    <t xml:space="preserve">      60910 Bank Services Charges</t>
  </si>
  <si>
    <t xml:space="preserve">      60920 Business Registration Fees</t>
  </si>
  <si>
    <t xml:space="preserve">      60930 Insurance - Excess Liability, D and O</t>
  </si>
  <si>
    <t xml:space="preserve">   Total 60900 Business Expenses</t>
  </si>
  <si>
    <t xml:space="preserve">   62100 Contract Services</t>
  </si>
  <si>
    <t xml:space="preserve">      62110 Accounting Fees</t>
  </si>
  <si>
    <t xml:space="preserve">      62150 Outside Contract Services</t>
  </si>
  <si>
    <t xml:space="preserve">      62160 Bookkeeping/Finance Services</t>
  </si>
  <si>
    <t xml:space="preserve">   Total 62100 Contract Services</t>
  </si>
  <si>
    <t xml:space="preserve">   62800 Facilities and Equipment</t>
  </si>
  <si>
    <t xml:space="preserve">      62840 General Maintenance</t>
  </si>
  <si>
    <t xml:space="preserve">      62845 Landscaping &amp; Lawn Care</t>
  </si>
  <si>
    <t xml:space="preserve">      62870 Property Insurance</t>
  </si>
  <si>
    <t xml:space="preserve">      62875 Electric</t>
  </si>
  <si>
    <t xml:space="preserve">      62880 Oil &amp; Propane Gas</t>
  </si>
  <si>
    <t xml:space="preserve">      62890 Refuse</t>
  </si>
  <si>
    <t xml:space="preserve">   Total 62800 Facilities and Equipment</t>
  </si>
  <si>
    <t xml:space="preserve">   65000 Operations</t>
  </si>
  <si>
    <t xml:space="preserve">      65010 Books, Subscriptions, Reference</t>
  </si>
  <si>
    <t xml:space="preserve">      65020 Postage, Mailing Service</t>
  </si>
  <si>
    <t xml:space="preserve">      65030 Printing and Copying</t>
  </si>
  <si>
    <t xml:space="preserve">      65035 Curatorial</t>
  </si>
  <si>
    <t xml:space="preserve">      65040 General Supplies</t>
  </si>
  <si>
    <t xml:space="preserve">      65045 Seasonal Supplies</t>
  </si>
  <si>
    <t xml:space="preserve">      65050 Telephone and Internet</t>
  </si>
  <si>
    <t xml:space="preserve">      65055 Donor Database</t>
  </si>
  <si>
    <t xml:space="preserve">      65060 Outreach/Marketing</t>
  </si>
  <si>
    <t xml:space="preserve">      67350 Annual Appeal Expense</t>
  </si>
  <si>
    <t xml:space="preserve">   Total 65000 Operations</t>
  </si>
  <si>
    <t xml:space="preserve">   65100 Other Types of Expenses</t>
  </si>
  <si>
    <t xml:space="preserve">      65120 Credit Card Processing Fees</t>
  </si>
  <si>
    <t xml:space="preserve">      65160 Miscellaneous Expenses</t>
  </si>
  <si>
    <t xml:space="preserve">   Total 65100 Other Types of Expenses</t>
  </si>
  <si>
    <t xml:space="preserve">   66000 Payroll Expenses</t>
  </si>
  <si>
    <t xml:space="preserve">      66100 Employer SS and Medicare</t>
  </si>
  <si>
    <t xml:space="preserve">      66200 Payroll processing</t>
  </si>
  <si>
    <t xml:space="preserve">      66300 Salary and Wages</t>
  </si>
  <si>
    <t xml:space="preserve">      66400 SUTA</t>
  </si>
  <si>
    <t xml:space="preserve">      66500 Workers Comp Insurance</t>
  </si>
  <si>
    <t xml:space="preserve">   Total 66000 Payroll Expenses</t>
  </si>
  <si>
    <t xml:space="preserve">   67000 Mather Fundraising Events</t>
  </si>
  <si>
    <t xml:space="preserve">      67100 Lecture Series Event Expenses</t>
  </si>
  <si>
    <t xml:space="preserve">      67250 Tea in the Garden Expense</t>
  </si>
  <si>
    <t xml:space="preserve">      67300 Other Events</t>
  </si>
  <si>
    <t xml:space="preserve">      67375 Holiday Event Expense</t>
  </si>
  <si>
    <t xml:space="preserve">      67400 Yoga Expense</t>
  </si>
  <si>
    <t xml:space="preserve">      67500 Music Events Expense</t>
  </si>
  <si>
    <t xml:space="preserve">      67600 Barn Event Expenses</t>
  </si>
  <si>
    <t xml:space="preserve">   Total 67000 Mather Fundraising Events</t>
  </si>
  <si>
    <t xml:space="preserve">   68300 Travel and Meetings</t>
  </si>
  <si>
    <t xml:space="preserve">      68330 Meetings</t>
  </si>
  <si>
    <t xml:space="preserve">   Total 68300 Travel and Meetings</t>
  </si>
  <si>
    <t xml:space="preserve">   69100 Depreciation</t>
  </si>
  <si>
    <t xml:space="preserve">      69120 Building Depreciation</t>
  </si>
  <si>
    <t xml:space="preserve">      69130 Equipment Depreciation</t>
  </si>
  <si>
    <t xml:space="preserve">      69140 Depreciation Expense - Leasehold Imp</t>
  </si>
  <si>
    <t xml:space="preserve">   Total 69100 Depreciation</t>
  </si>
  <si>
    <t>Total Expenses</t>
  </si>
  <si>
    <t>Net Operating Income</t>
  </si>
  <si>
    <t>Other Income</t>
  </si>
  <si>
    <t xml:space="preserve">   45000 Investment related income</t>
  </si>
  <si>
    <t xml:space="preserve">      45010 Dividend income</t>
  </si>
  <si>
    <t xml:space="preserve">      45030 Interest Income</t>
  </si>
  <si>
    <t xml:space="preserve">      45060 Unrealized Gain/Loss on investment</t>
  </si>
  <si>
    <t xml:space="preserve">      45070 Realized gain/loss on donated stock</t>
  </si>
  <si>
    <t xml:space="preserve">   Total 45000 Investment related income</t>
  </si>
  <si>
    <t>Total Other Income</t>
  </si>
  <si>
    <t>Net Other Income</t>
  </si>
  <si>
    <t>Net Income</t>
  </si>
  <si>
    <t>Mather Homestead</t>
  </si>
  <si>
    <t>2022 DRAFT Budget</t>
  </si>
  <si>
    <t xml:space="preserve">      43200 Restricted Grants</t>
  </si>
  <si>
    <t xml:space="preserve">           Sharp Grant</t>
  </si>
  <si>
    <t xml:space="preserve">           CT Cultural - Operating</t>
  </si>
  <si>
    <t xml:space="preserve">          Survey &amp; Planning</t>
  </si>
  <si>
    <t>Total Revenue</t>
  </si>
  <si>
    <t xml:space="preserve">      41410 Corporate Contributions/Sponsorship</t>
  </si>
  <si>
    <t>2022 Proposed</t>
  </si>
  <si>
    <t>2021 Draft</t>
  </si>
  <si>
    <t>Actuals</t>
  </si>
  <si>
    <t xml:space="preserve">      62130 Architecture/Planning/Survey</t>
  </si>
  <si>
    <t xml:space="preserve">      46420 Endowment Contribution</t>
  </si>
  <si>
    <t>increase</t>
  </si>
  <si>
    <t>2021 profit</t>
  </si>
  <si>
    <t xml:space="preserve">2022 profit </t>
  </si>
  <si>
    <t>events</t>
  </si>
  <si>
    <t>Should we raise funds for something specific, eg. Planting, mid year?</t>
  </si>
  <si>
    <t>landscaping in 2020 $5K.  O bartlett ~$5K for tre work.</t>
  </si>
  <si>
    <t>Operating expenses = business, contract services (excl grant contracts, STM exhibit), facilities &amp; equipment, payroll</t>
  </si>
  <si>
    <t>2022 General Maintenance</t>
  </si>
  <si>
    <t>Cleaning</t>
  </si>
  <si>
    <t>Aesbestos Removal</t>
  </si>
  <si>
    <t>Painting side of house</t>
  </si>
  <si>
    <t>paid</t>
  </si>
  <si>
    <t>Total</t>
  </si>
  <si>
    <t>Gutter repair</t>
  </si>
  <si>
    <t>Other projects</t>
  </si>
  <si>
    <t>See general maintenance sheet</t>
  </si>
  <si>
    <t>Includes $25K expense for STM exhibit + additional $5K Kathy help with archiving</t>
  </si>
  <si>
    <t>check with maria why did we have $1000</t>
  </si>
  <si>
    <t>Put 25 down here</t>
  </si>
  <si>
    <t xml:space="preserve">Chilton in for $5K. </t>
  </si>
  <si>
    <t>Cash position</t>
  </si>
  <si>
    <t>Reserve for 6 month operating funds</t>
  </si>
  <si>
    <t>Reserve for "rainy day" house expenses</t>
  </si>
  <si>
    <t>Funds available for endowment</t>
  </si>
  <si>
    <t>Recommended contribution to endowment</t>
  </si>
  <si>
    <t xml:space="preserve">      42700 Junior Board Event</t>
  </si>
  <si>
    <t xml:space="preserve">     67700 Junior Board Expenses</t>
  </si>
  <si>
    <t>Added junior board event</t>
  </si>
  <si>
    <t>$55K Heather, $25K *80% assistant (assume we hire in March)</t>
  </si>
  <si>
    <t xml:space="preserve">4% x $200K </t>
  </si>
  <si>
    <t>Kelly Dupont.  5 hours/week x $27.50, Hal Miller, Connor Gregory Archiving $20 x 100 hours</t>
  </si>
  <si>
    <t>$20K for condition assessment, $5150 for survey</t>
  </si>
  <si>
    <t xml:space="preserve">Plumber to fix waste 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</si>
</sst>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,##0.00\ _€"/>
    <numFmt numFmtId="165" formatCode="&quot;$&quot;* #,##0.00\ _€"/>
    <numFmt numFmtId="166" formatCode="0.000000"/>
  </numFmts>
  <fonts count="11" x14ac:knownFonts="1">
    <font>
      <sz val="11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165" fontId="1" fillId="0" borderId="3" xfId="0" applyNumberFormat="1" applyFont="1" applyBorder="1" applyAlignment="1">
      <alignment horizontal="right" wrapText="1"/>
    </xf>
    <xf numFmtId="0" fontId="0" fillId="0" borderId="0" xfId="0"/>
    <xf numFmtId="0" fontId="0" fillId="0" borderId="0" xfId="0"/>
    <xf numFmtId="16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44" fontId="1" fillId="0" borderId="0" xfId="1" applyFont="1" applyAlignment="1">
      <alignment horizontal="left" wrapText="1"/>
    </xf>
    <xf numFmtId="44" fontId="1" fillId="0" borderId="0" xfId="1" applyFont="1"/>
    <xf numFmtId="44" fontId="2" fillId="0" borderId="0" xfId="1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8" fillId="0" borderId="0" xfId="0" applyFont="1"/>
    <xf numFmtId="9" fontId="8" fillId="0" borderId="0" xfId="2" applyFont="1"/>
    <xf numFmtId="0" fontId="8" fillId="0" borderId="0" xfId="0" quotePrefix="1" applyFont="1"/>
    <xf numFmtId="0" fontId="1" fillId="0" borderId="0" xfId="1" applyNumberFormat="1" applyFont="1" applyAlignment="1">
      <alignment horizontal="center" wrapText="1"/>
    </xf>
    <xf numFmtId="44" fontId="1" fillId="0" borderId="1" xfId="1" applyFont="1" applyBorder="1" applyAlignment="1">
      <alignment horizontal="left" wrapText="1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44" fontId="8" fillId="2" borderId="8" xfId="0" applyNumberFormat="1" applyFont="1" applyFill="1" applyBorder="1"/>
    <xf numFmtId="44" fontId="8" fillId="2" borderId="9" xfId="0" applyNumberFormat="1" applyFont="1" applyFill="1" applyBorder="1"/>
    <xf numFmtId="44" fontId="1" fillId="0" borderId="10" xfId="1" applyFont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44" fontId="2" fillId="2" borderId="10" xfId="0" applyNumberFormat="1" applyFont="1" applyFill="1" applyBorder="1"/>
    <xf numFmtId="44" fontId="2" fillId="2" borderId="12" xfId="0" applyNumberFormat="1" applyFont="1" applyFill="1" applyBorder="1"/>
    <xf numFmtId="0" fontId="0" fillId="0" borderId="0" xfId="0"/>
    <xf numFmtId="0" fontId="8" fillId="0" borderId="0" xfId="0" applyFont="1" applyFill="1"/>
    <xf numFmtId="165" fontId="9" fillId="0" borderId="3" xfId="0" applyNumberFormat="1" applyFont="1" applyFill="1" applyBorder="1" applyAlignment="1">
      <alignment horizontal="right" wrapText="1"/>
    </xf>
    <xf numFmtId="165" fontId="1" fillId="3" borderId="2" xfId="0" applyNumberFormat="1" applyFont="1" applyFill="1" applyBorder="1" applyAlignment="1">
      <alignment horizontal="right" wrapText="1"/>
    </xf>
    <xf numFmtId="166" fontId="8" fillId="0" borderId="0" xfId="0" applyNumberFormat="1" applyFont="1"/>
    <xf numFmtId="44" fontId="2" fillId="3" borderId="0" xfId="1" applyFont="1" applyFill="1"/>
    <xf numFmtId="44" fontId="2" fillId="2" borderId="0" xfId="0" applyNumberFormat="1" applyFont="1" applyFill="1"/>
    <xf numFmtId="44" fontId="1" fillId="0" borderId="0" xfId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9" fontId="0" fillId="0" borderId="0" xfId="2" applyFont="1"/>
    <xf numFmtId="9" fontId="0" fillId="2" borderId="0" xfId="2" applyFont="1" applyFill="1"/>
    <xf numFmtId="0" fontId="10" fillId="0" borderId="0" xfId="3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=B9-@sum(B3:B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9"/>
  <sheetViews>
    <sheetView topLeftCell="A57" zoomScale="120" zoomScaleNormal="120" workbookViewId="0">
      <selection activeCell="C111" sqref="C111"/>
    </sheetView>
  </sheetViews>
  <sheetFormatPr baseColWidth="10" defaultColWidth="8.83203125" defaultRowHeight="15" x14ac:dyDescent="0.2"/>
  <cols>
    <col min="1" max="1" width="43" customWidth="1"/>
    <col min="2" max="3" width="14.1640625" style="13" customWidth="1"/>
    <col min="4" max="5" width="13.6640625" style="15" customWidth="1"/>
    <col min="6" max="6" width="11.5" style="16" customWidth="1"/>
    <col min="7" max="7" width="12.83203125" style="16" customWidth="1"/>
    <col min="8" max="8" width="11.5" customWidth="1"/>
  </cols>
  <sheetData>
    <row r="1" spans="1:7" ht="18" x14ac:dyDescent="0.2">
      <c r="A1" s="43" t="s">
        <v>103</v>
      </c>
      <c r="B1" s="43"/>
      <c r="C1" s="43"/>
      <c r="D1" s="43"/>
      <c r="E1" s="44"/>
    </row>
    <row r="2" spans="1:7" ht="18" x14ac:dyDescent="0.2">
      <c r="A2" s="43" t="s">
        <v>104</v>
      </c>
      <c r="B2" s="43"/>
      <c r="C2" s="43"/>
      <c r="D2" s="43"/>
      <c r="E2" s="44"/>
    </row>
    <row r="3" spans="1:7" x14ac:dyDescent="0.2">
      <c r="A3" s="45"/>
      <c r="B3" s="45"/>
      <c r="C3" s="45"/>
      <c r="D3" s="45"/>
      <c r="E3" s="44"/>
    </row>
    <row r="5" spans="1:7" x14ac:dyDescent="0.2">
      <c r="A5" s="1"/>
      <c r="B5" s="19">
        <v>2019</v>
      </c>
      <c r="C5" s="19">
        <v>2020</v>
      </c>
      <c r="D5" s="39" t="s">
        <v>112</v>
      </c>
      <c r="E5" s="39" t="s">
        <v>111</v>
      </c>
    </row>
    <row r="6" spans="1:7" x14ac:dyDescent="0.2">
      <c r="A6" s="1"/>
      <c r="B6" s="14" t="s">
        <v>113</v>
      </c>
      <c r="C6" s="14" t="s">
        <v>113</v>
      </c>
      <c r="D6" s="14" t="s">
        <v>113</v>
      </c>
      <c r="E6" s="14" t="s">
        <v>0</v>
      </c>
    </row>
    <row r="7" spans="1:7" x14ac:dyDescent="0.2">
      <c r="A7" s="2" t="s">
        <v>1</v>
      </c>
      <c r="B7" s="11"/>
      <c r="C7" s="11"/>
      <c r="D7" s="3"/>
      <c r="E7" s="3"/>
    </row>
    <row r="8" spans="1:7" x14ac:dyDescent="0.2">
      <c r="A8" s="2" t="s">
        <v>2</v>
      </c>
      <c r="B8" s="11"/>
      <c r="C8" s="11"/>
      <c r="D8" s="3"/>
      <c r="E8" s="3"/>
    </row>
    <row r="9" spans="1:7" s="7" customFormat="1" x14ac:dyDescent="0.2">
      <c r="A9" s="2" t="s">
        <v>110</v>
      </c>
      <c r="B9" s="11"/>
      <c r="C9" s="11"/>
      <c r="D9" s="3">
        <v>0</v>
      </c>
      <c r="E9" s="9">
        <v>10000</v>
      </c>
      <c r="F9" s="16" t="s">
        <v>135</v>
      </c>
      <c r="G9" s="16"/>
    </row>
    <row r="10" spans="1:7" x14ac:dyDescent="0.2">
      <c r="A10" s="2" t="s">
        <v>3</v>
      </c>
      <c r="B10" s="11"/>
      <c r="C10" s="11"/>
      <c r="D10" s="4">
        <f>246</f>
        <v>246</v>
      </c>
      <c r="E10" s="4">
        <f>246</f>
        <v>246</v>
      </c>
    </row>
    <row r="11" spans="1:7" x14ac:dyDescent="0.2">
      <c r="A11" s="2" t="s">
        <v>4</v>
      </c>
      <c r="B11" s="11"/>
      <c r="C11" s="11"/>
      <c r="D11" s="4">
        <v>16184.58</v>
      </c>
      <c r="E11" s="4">
        <v>15000</v>
      </c>
      <c r="F11" s="17"/>
    </row>
    <row r="12" spans="1:7" x14ac:dyDescent="0.2">
      <c r="A12" s="2" t="s">
        <v>5</v>
      </c>
      <c r="B12" s="20"/>
      <c r="C12" s="20"/>
      <c r="D12" s="4">
        <v>133166.60999999999</v>
      </c>
      <c r="E12" s="4">
        <v>140000</v>
      </c>
      <c r="F12" s="17">
        <f>(E12-D12)/D12</f>
        <v>5.1314590046258705E-2</v>
      </c>
      <c r="G12" s="16" t="s">
        <v>116</v>
      </c>
    </row>
    <row r="13" spans="1:7" x14ac:dyDescent="0.2">
      <c r="A13" s="2" t="s">
        <v>6</v>
      </c>
      <c r="B13" s="11">
        <v>99013.95</v>
      </c>
      <c r="C13" s="11">
        <v>121938.44</v>
      </c>
      <c r="D13" s="5">
        <f>SUM(D9:D12)</f>
        <v>149597.19</v>
      </c>
      <c r="E13" s="5">
        <f>SUM(E9:E12)</f>
        <v>165246</v>
      </c>
      <c r="F13" s="17">
        <f>(E13-D13)/D13</f>
        <v>0.10460630978429473</v>
      </c>
      <c r="G13" s="16" t="s">
        <v>116</v>
      </c>
    </row>
    <row r="14" spans="1:7" x14ac:dyDescent="0.2">
      <c r="A14" s="2" t="s">
        <v>7</v>
      </c>
      <c r="B14" s="11"/>
      <c r="C14" s="11"/>
      <c r="D14" s="4">
        <v>102350</v>
      </c>
      <c r="E14" s="4"/>
    </row>
    <row r="15" spans="1:7" x14ac:dyDescent="0.2">
      <c r="A15" s="2" t="s">
        <v>8</v>
      </c>
      <c r="B15" s="11"/>
      <c r="C15" s="11"/>
      <c r="D15" s="4">
        <v>22927.31</v>
      </c>
      <c r="E15" s="4"/>
    </row>
    <row r="16" spans="1:7" x14ac:dyDescent="0.2">
      <c r="A16" s="2" t="s">
        <v>9</v>
      </c>
      <c r="B16" s="20"/>
      <c r="C16" s="20"/>
      <c r="D16" s="4">
        <v>6013.37</v>
      </c>
      <c r="E16" s="4"/>
    </row>
    <row r="17" spans="1:7" x14ac:dyDescent="0.2">
      <c r="A17" s="2" t="s">
        <v>10</v>
      </c>
      <c r="B17" s="11">
        <v>254709.6</v>
      </c>
      <c r="C17" s="11">
        <v>272499.44</v>
      </c>
      <c r="D17" s="5">
        <f>SUM(D14:D16)</f>
        <v>131290.68</v>
      </c>
      <c r="E17" s="5">
        <f>((E14)+(E15))+(E16)</f>
        <v>0</v>
      </c>
      <c r="F17" s="16" t="s">
        <v>120</v>
      </c>
    </row>
    <row r="18" spans="1:7" x14ac:dyDescent="0.2">
      <c r="A18" s="2" t="s">
        <v>11</v>
      </c>
      <c r="B18" s="11"/>
      <c r="C18" s="11"/>
      <c r="D18" s="3"/>
      <c r="E18" s="3"/>
    </row>
    <row r="19" spans="1:7" x14ac:dyDescent="0.2">
      <c r="A19" s="2" t="s">
        <v>12</v>
      </c>
      <c r="B19" s="11"/>
      <c r="C19" s="11"/>
      <c r="D19" s="4">
        <v>6527</v>
      </c>
      <c r="E19" s="4">
        <v>7500</v>
      </c>
    </row>
    <row r="20" spans="1:7" x14ac:dyDescent="0.2">
      <c r="A20" s="2" t="s">
        <v>13</v>
      </c>
      <c r="B20" s="11"/>
      <c r="C20" s="11"/>
      <c r="D20" s="4">
        <v>20350.310000000001</v>
      </c>
      <c r="E20" s="4">
        <v>20000</v>
      </c>
    </row>
    <row r="21" spans="1:7" x14ac:dyDescent="0.2">
      <c r="A21" s="2" t="s">
        <v>14</v>
      </c>
      <c r="B21" s="11"/>
      <c r="C21" s="11"/>
      <c r="D21" s="4">
        <v>17416.34</v>
      </c>
      <c r="E21" s="4">
        <v>17000</v>
      </c>
    </row>
    <row r="22" spans="1:7" x14ac:dyDescent="0.2">
      <c r="A22" s="2" t="s">
        <v>15</v>
      </c>
      <c r="B22" s="11"/>
      <c r="C22" s="11"/>
      <c r="D22" s="4">
        <v>11244.9</v>
      </c>
      <c r="E22" s="4">
        <v>12000</v>
      </c>
    </row>
    <row r="23" spans="1:7" x14ac:dyDescent="0.2">
      <c r="A23" s="2" t="s">
        <v>16</v>
      </c>
      <c r="B23" s="11"/>
      <c r="C23" s="11"/>
      <c r="D23" s="4">
        <v>20725</v>
      </c>
      <c r="E23" s="4">
        <v>20000</v>
      </c>
    </row>
    <row r="24" spans="1:7" x14ac:dyDescent="0.2">
      <c r="A24" s="2" t="s">
        <v>17</v>
      </c>
      <c r="B24" s="11"/>
      <c r="C24" s="11"/>
      <c r="D24" s="4">
        <v>9540</v>
      </c>
      <c r="E24" s="4">
        <v>10000</v>
      </c>
    </row>
    <row r="25" spans="1:7" x14ac:dyDescent="0.2">
      <c r="A25" s="2" t="s">
        <v>18</v>
      </c>
      <c r="B25" s="38"/>
      <c r="C25" s="38"/>
      <c r="D25" s="4">
        <v>22240</v>
      </c>
      <c r="E25" s="4">
        <v>22500</v>
      </c>
    </row>
    <row r="26" spans="1:7" s="31" customFormat="1" x14ac:dyDescent="0.2">
      <c r="A26" s="2" t="s">
        <v>141</v>
      </c>
      <c r="B26" s="20"/>
      <c r="C26" s="20"/>
      <c r="D26" s="4"/>
      <c r="E26" s="10">
        <v>21000</v>
      </c>
      <c r="F26" s="16" t="s">
        <v>143</v>
      </c>
      <c r="G26" s="16"/>
    </row>
    <row r="27" spans="1:7" x14ac:dyDescent="0.2">
      <c r="A27" s="2" t="s">
        <v>19</v>
      </c>
      <c r="B27" s="11">
        <v>14262.3</v>
      </c>
      <c r="C27" s="11">
        <v>47892.7</v>
      </c>
      <c r="D27" s="5">
        <f>SUM(D19:D25)</f>
        <v>108043.55</v>
      </c>
      <c r="E27" s="5">
        <f>SUM(E19:E26)</f>
        <v>130000</v>
      </c>
    </row>
    <row r="28" spans="1:7" x14ac:dyDescent="0.2">
      <c r="A28" s="2" t="s">
        <v>20</v>
      </c>
      <c r="B28" s="11"/>
      <c r="C28" s="11"/>
      <c r="D28" s="3"/>
      <c r="E28" s="3"/>
    </row>
    <row r="29" spans="1:7" x14ac:dyDescent="0.2">
      <c r="A29" s="2" t="s">
        <v>21</v>
      </c>
      <c r="B29" s="11"/>
      <c r="C29" s="11"/>
      <c r="D29" s="4">
        <f>1000</f>
        <v>1000</v>
      </c>
      <c r="E29" s="4">
        <v>0</v>
      </c>
      <c r="F29" s="16" t="s">
        <v>133</v>
      </c>
    </row>
    <row r="30" spans="1:7" s="7" customFormat="1" x14ac:dyDescent="0.2">
      <c r="A30" s="2" t="s">
        <v>105</v>
      </c>
      <c r="B30" s="11"/>
      <c r="C30" s="11"/>
      <c r="D30" s="4"/>
      <c r="E30" s="4"/>
      <c r="F30" s="16"/>
      <c r="G30" s="16"/>
    </row>
    <row r="31" spans="1:7" s="7" customFormat="1" x14ac:dyDescent="0.2">
      <c r="A31" s="2" t="s">
        <v>106</v>
      </c>
      <c r="B31" s="11"/>
      <c r="C31" s="11"/>
      <c r="D31" s="4">
        <v>0</v>
      </c>
      <c r="E31" s="4">
        <v>5150</v>
      </c>
      <c r="F31" s="16"/>
      <c r="G31" s="16"/>
    </row>
    <row r="32" spans="1:7" s="7" customFormat="1" x14ac:dyDescent="0.2">
      <c r="A32" s="2" t="s">
        <v>107</v>
      </c>
      <c r="B32" s="11"/>
      <c r="C32" s="11"/>
      <c r="D32" s="4">
        <v>0</v>
      </c>
      <c r="E32" s="4">
        <v>16100</v>
      </c>
      <c r="F32" s="16"/>
      <c r="G32" s="16"/>
    </row>
    <row r="33" spans="1:7" s="7" customFormat="1" x14ac:dyDescent="0.2">
      <c r="A33" s="2" t="s">
        <v>108</v>
      </c>
      <c r="B33" s="20"/>
      <c r="C33" s="20"/>
      <c r="D33" s="4">
        <v>0</v>
      </c>
      <c r="E33" s="4">
        <v>20000</v>
      </c>
      <c r="F33" s="16"/>
      <c r="G33" s="16"/>
    </row>
    <row r="34" spans="1:7" x14ac:dyDescent="0.2">
      <c r="A34" s="2" t="s">
        <v>22</v>
      </c>
      <c r="B34" s="11">
        <v>75000</v>
      </c>
      <c r="C34" s="11"/>
      <c r="D34" s="5">
        <f>SUM(D29:D33)</f>
        <v>1000</v>
      </c>
      <c r="E34" s="5">
        <f>SUM(E29:E33)</f>
        <v>41250</v>
      </c>
    </row>
    <row r="35" spans="1:7" x14ac:dyDescent="0.2">
      <c r="A35" s="2" t="s">
        <v>23</v>
      </c>
      <c r="B35" s="11"/>
      <c r="C35" s="11"/>
      <c r="D35" s="3"/>
      <c r="E35" s="3"/>
    </row>
    <row r="36" spans="1:7" x14ac:dyDescent="0.2">
      <c r="A36" s="2" t="s">
        <v>24</v>
      </c>
      <c r="B36" s="11"/>
      <c r="C36" s="11"/>
      <c r="D36" s="4">
        <f>8400</f>
        <v>8400</v>
      </c>
      <c r="E36" s="4">
        <f>8400</f>
        <v>8400</v>
      </c>
    </row>
    <row r="37" spans="1:7" s="8" customFormat="1" x14ac:dyDescent="0.2">
      <c r="A37" s="2" t="s">
        <v>115</v>
      </c>
      <c r="B37" s="11"/>
      <c r="C37" s="11"/>
      <c r="D37" s="4"/>
      <c r="E37" s="10">
        <f>200000*0.04</f>
        <v>8000</v>
      </c>
      <c r="F37" s="18" t="s">
        <v>145</v>
      </c>
      <c r="G37" s="16"/>
    </row>
    <row r="38" spans="1:7" x14ac:dyDescent="0.2">
      <c r="A38" s="2" t="s">
        <v>25</v>
      </c>
      <c r="B38" s="20"/>
      <c r="C38" s="20"/>
      <c r="D38" s="4">
        <f>0</f>
        <v>0</v>
      </c>
      <c r="E38" s="4">
        <f>0</f>
        <v>0</v>
      </c>
    </row>
    <row r="39" spans="1:7" x14ac:dyDescent="0.2">
      <c r="A39" s="2" t="s">
        <v>26</v>
      </c>
      <c r="B39" s="11">
        <v>4302.51</v>
      </c>
      <c r="C39" s="11">
        <v>7700</v>
      </c>
      <c r="D39" s="5">
        <f>((D35)+(D36))+(D38)</f>
        <v>8400</v>
      </c>
      <c r="E39" s="5">
        <f>SUM(E36:E38)</f>
        <v>16400</v>
      </c>
    </row>
    <row r="40" spans="1:7" x14ac:dyDescent="0.2">
      <c r="A40" s="2" t="s">
        <v>27</v>
      </c>
      <c r="B40" s="11"/>
      <c r="C40" s="11"/>
      <c r="D40" s="3"/>
      <c r="E40" s="3"/>
    </row>
    <row r="41" spans="1:7" x14ac:dyDescent="0.2">
      <c r="A41" s="2" t="s">
        <v>28</v>
      </c>
      <c r="B41" s="11"/>
      <c r="C41" s="11"/>
      <c r="D41" s="4">
        <v>888.85</v>
      </c>
      <c r="E41" s="4">
        <v>1000</v>
      </c>
    </row>
    <row r="42" spans="1:7" x14ac:dyDescent="0.2">
      <c r="A42" s="2" t="s">
        <v>29</v>
      </c>
      <c r="B42" s="11"/>
      <c r="C42" s="11"/>
      <c r="D42" s="4">
        <v>16795</v>
      </c>
      <c r="E42" s="4">
        <v>17500</v>
      </c>
      <c r="F42" s="46">
        <f>(E42-D42)/D42</f>
        <v>4.1976778803215244E-2</v>
      </c>
    </row>
    <row r="43" spans="1:7" x14ac:dyDescent="0.2">
      <c r="A43" s="2" t="s">
        <v>30</v>
      </c>
      <c r="B43" s="20"/>
      <c r="C43" s="20"/>
      <c r="D43" s="4">
        <v>3675</v>
      </c>
      <c r="E43" s="4">
        <v>4000</v>
      </c>
    </row>
    <row r="44" spans="1:7" x14ac:dyDescent="0.2">
      <c r="A44" s="2" t="s">
        <v>31</v>
      </c>
      <c r="B44" s="11">
        <v>545</v>
      </c>
      <c r="C44" s="11">
        <v>450</v>
      </c>
      <c r="D44" s="5">
        <f>(((D40)+(D41))+(D42))+(D43)</f>
        <v>21358.85</v>
      </c>
      <c r="E44" s="5">
        <f>(((E40)+(E41))+(E42))+(E43)</f>
        <v>22500</v>
      </c>
    </row>
    <row r="45" spans="1:7" x14ac:dyDescent="0.2">
      <c r="A45" s="2" t="s">
        <v>109</v>
      </c>
      <c r="B45" s="20">
        <v>447833.36</v>
      </c>
      <c r="C45" s="20">
        <v>450580.58</v>
      </c>
      <c r="D45" s="5">
        <f>(((((D13)+(D17))+(D27))+(D34))+(D39))+(D44)</f>
        <v>419690.26999999996</v>
      </c>
      <c r="E45" s="5">
        <f>(((((E13)+(E17))+(E27))+(E34))+(E39))+(E44)</f>
        <v>375396</v>
      </c>
    </row>
    <row r="46" spans="1:7" x14ac:dyDescent="0.2">
      <c r="A46" s="2"/>
      <c r="B46" s="11"/>
      <c r="C46" s="11"/>
      <c r="D46" s="5">
        <f>(D45)-(0)</f>
        <v>419690.26999999996</v>
      </c>
      <c r="E46" s="5">
        <f>(E45)-(0)</f>
        <v>375396</v>
      </c>
    </row>
    <row r="47" spans="1:7" x14ac:dyDescent="0.2">
      <c r="A47" s="2" t="s">
        <v>32</v>
      </c>
      <c r="B47" s="11"/>
      <c r="C47" s="11"/>
      <c r="D47" s="3"/>
      <c r="E47" s="3"/>
    </row>
    <row r="48" spans="1:7" x14ac:dyDescent="0.2">
      <c r="A48" s="2" t="s">
        <v>33</v>
      </c>
      <c r="B48" s="11"/>
      <c r="C48" s="11"/>
      <c r="D48" s="3"/>
      <c r="E48" s="3"/>
    </row>
    <row r="49" spans="1:7" x14ac:dyDescent="0.2">
      <c r="A49" s="2" t="s">
        <v>34</v>
      </c>
      <c r="B49" s="11"/>
      <c r="C49" s="11"/>
      <c r="D49" s="4">
        <v>153.88</v>
      </c>
      <c r="E49" s="4">
        <v>100</v>
      </c>
    </row>
    <row r="50" spans="1:7" x14ac:dyDescent="0.2">
      <c r="A50" s="2" t="s">
        <v>35</v>
      </c>
      <c r="B50" s="11"/>
      <c r="C50" s="11"/>
      <c r="D50" s="4">
        <v>499.81</v>
      </c>
      <c r="E50" s="4">
        <v>500</v>
      </c>
    </row>
    <row r="51" spans="1:7" x14ac:dyDescent="0.2">
      <c r="A51" s="2" t="s">
        <v>36</v>
      </c>
      <c r="B51" s="20"/>
      <c r="C51" s="20"/>
      <c r="D51" s="4">
        <v>4746.8900000000003</v>
      </c>
      <c r="E51" s="4">
        <v>5000</v>
      </c>
    </row>
    <row r="52" spans="1:7" x14ac:dyDescent="0.2">
      <c r="A52" s="2" t="s">
        <v>37</v>
      </c>
      <c r="B52" s="11">
        <v>4476.09</v>
      </c>
      <c r="C52" s="11">
        <v>8874.86</v>
      </c>
      <c r="D52" s="5">
        <f>(((D48)+(D49))+(D50))+(D51)</f>
        <v>5400.58</v>
      </c>
      <c r="E52" s="5">
        <f>SUM(E49:E51)</f>
        <v>5600</v>
      </c>
    </row>
    <row r="53" spans="1:7" x14ac:dyDescent="0.2">
      <c r="A53" s="2" t="s">
        <v>38</v>
      </c>
      <c r="B53" s="11"/>
      <c r="C53" s="11"/>
      <c r="D53" s="3"/>
      <c r="E53" s="3"/>
    </row>
    <row r="54" spans="1:7" x14ac:dyDescent="0.2">
      <c r="A54" s="2" t="s">
        <v>39</v>
      </c>
      <c r="B54" s="11"/>
      <c r="C54" s="11"/>
      <c r="D54" s="4">
        <v>2750</v>
      </c>
      <c r="E54" s="4">
        <v>3000</v>
      </c>
    </row>
    <row r="55" spans="1:7" s="8" customFormat="1" x14ac:dyDescent="0.2">
      <c r="A55" s="2" t="s">
        <v>114</v>
      </c>
      <c r="B55" s="11"/>
      <c r="C55" s="11"/>
      <c r="D55" s="4"/>
      <c r="E55" s="10">
        <f>5150+20000</f>
        <v>25150</v>
      </c>
      <c r="F55" s="16" t="s">
        <v>147</v>
      </c>
      <c r="G55" s="16"/>
    </row>
    <row r="56" spans="1:7" x14ac:dyDescent="0.2">
      <c r="A56" s="2" t="s">
        <v>40</v>
      </c>
      <c r="B56" s="11"/>
      <c r="C56" s="11"/>
      <c r="D56" s="4">
        <v>1691.25</v>
      </c>
      <c r="E56" s="10">
        <v>10000</v>
      </c>
      <c r="F56" s="16" t="s">
        <v>146</v>
      </c>
    </row>
    <row r="57" spans="1:7" x14ac:dyDescent="0.2">
      <c r="A57" s="2" t="s">
        <v>41</v>
      </c>
      <c r="B57" s="20"/>
      <c r="C57" s="20"/>
      <c r="D57" s="4">
        <v>6551.89</v>
      </c>
      <c r="E57" s="4">
        <v>7500</v>
      </c>
    </row>
    <row r="58" spans="1:7" x14ac:dyDescent="0.2">
      <c r="A58" s="2" t="s">
        <v>42</v>
      </c>
      <c r="B58" s="11">
        <v>5399.79</v>
      </c>
      <c r="C58" s="11">
        <v>9932.34</v>
      </c>
      <c r="D58" s="5">
        <f>(((D53)+(D54))+(D56))+(D57)</f>
        <v>10993.14</v>
      </c>
      <c r="E58" s="5">
        <f>SUM(E54:E57)</f>
        <v>45650</v>
      </c>
    </row>
    <row r="59" spans="1:7" x14ac:dyDescent="0.2">
      <c r="A59" s="2" t="s">
        <v>43</v>
      </c>
      <c r="B59" s="11"/>
      <c r="C59" s="11"/>
      <c r="D59" s="3"/>
      <c r="E59" s="3"/>
    </row>
    <row r="60" spans="1:7" x14ac:dyDescent="0.2">
      <c r="A60" s="2" t="s">
        <v>44</v>
      </c>
      <c r="B60" s="11"/>
      <c r="C60" s="11"/>
      <c r="D60" s="10">
        <v>32371.55</v>
      </c>
      <c r="E60" s="10">
        <v>32000</v>
      </c>
      <c r="F60" s="16" t="s">
        <v>131</v>
      </c>
    </row>
    <row r="61" spans="1:7" x14ac:dyDescent="0.2">
      <c r="A61" s="2" t="s">
        <v>45</v>
      </c>
      <c r="B61" s="11"/>
      <c r="C61" s="11"/>
      <c r="D61" s="10">
        <v>27154.17</v>
      </c>
      <c r="E61" s="10">
        <v>25000</v>
      </c>
      <c r="F61" s="16" t="s">
        <v>121</v>
      </c>
    </row>
    <row r="62" spans="1:7" x14ac:dyDescent="0.2">
      <c r="A62" s="2" t="s">
        <v>46</v>
      </c>
      <c r="B62" s="11"/>
      <c r="C62" s="11"/>
      <c r="D62" s="4">
        <v>8063.11</v>
      </c>
      <c r="E62" s="4">
        <v>8500</v>
      </c>
    </row>
    <row r="63" spans="1:7" x14ac:dyDescent="0.2">
      <c r="A63" s="2" t="s">
        <v>47</v>
      </c>
      <c r="B63" s="11"/>
      <c r="C63" s="11"/>
      <c r="D63" s="4">
        <v>3012.85</v>
      </c>
      <c r="E63" s="4">
        <v>3500</v>
      </c>
    </row>
    <row r="64" spans="1:7" x14ac:dyDescent="0.2">
      <c r="A64" s="2" t="s">
        <v>48</v>
      </c>
      <c r="B64" s="11"/>
      <c r="C64" s="11"/>
      <c r="D64" s="4">
        <v>5604.56</v>
      </c>
      <c r="E64" s="4">
        <v>6000</v>
      </c>
    </row>
    <row r="65" spans="1:6" x14ac:dyDescent="0.2">
      <c r="A65" s="2" t="s">
        <v>49</v>
      </c>
      <c r="B65" s="20"/>
      <c r="C65" s="20"/>
      <c r="D65" s="4">
        <v>825</v>
      </c>
      <c r="E65" s="4">
        <v>900</v>
      </c>
    </row>
    <row r="66" spans="1:6" x14ac:dyDescent="0.2">
      <c r="A66" s="2" t="s">
        <v>50</v>
      </c>
      <c r="B66" s="11">
        <v>30400.49</v>
      </c>
      <c r="C66" s="11">
        <v>24167.1</v>
      </c>
      <c r="D66" s="5">
        <f>((((((D59)+(D60))+(D61))+(D62))+(D63))+(D64))+(D65)</f>
        <v>77031.240000000005</v>
      </c>
      <c r="E66" s="5">
        <f>SUM(E60:E65)</f>
        <v>75900</v>
      </c>
    </row>
    <row r="67" spans="1:6" x14ac:dyDescent="0.2">
      <c r="A67" s="2" t="s">
        <v>51</v>
      </c>
      <c r="B67" s="11"/>
      <c r="C67" s="11"/>
      <c r="D67" s="3"/>
      <c r="E67" s="3"/>
    </row>
    <row r="68" spans="1:6" x14ac:dyDescent="0.2">
      <c r="A68" s="2" t="s">
        <v>52</v>
      </c>
      <c r="B68" s="11"/>
      <c r="C68" s="11"/>
      <c r="D68" s="4">
        <v>8.2100000000000009</v>
      </c>
      <c r="E68" s="4">
        <v>200</v>
      </c>
    </row>
    <row r="69" spans="1:6" x14ac:dyDescent="0.2">
      <c r="A69" s="2" t="s">
        <v>53</v>
      </c>
      <c r="B69" s="11"/>
      <c r="C69" s="11"/>
      <c r="D69" s="4">
        <v>713.05</v>
      </c>
      <c r="E69" s="4">
        <v>700</v>
      </c>
    </row>
    <row r="70" spans="1:6" x14ac:dyDescent="0.2">
      <c r="A70" s="2" t="s">
        <v>54</v>
      </c>
      <c r="B70" s="11"/>
      <c r="C70" s="11"/>
      <c r="D70" s="4">
        <v>694.06</v>
      </c>
      <c r="E70" s="4">
        <v>500</v>
      </c>
    </row>
    <row r="71" spans="1:6" x14ac:dyDescent="0.2">
      <c r="A71" s="2" t="s">
        <v>55</v>
      </c>
      <c r="B71" s="11"/>
      <c r="C71" s="11"/>
      <c r="D71" s="4">
        <v>3938.27</v>
      </c>
      <c r="E71" s="10">
        <v>30000</v>
      </c>
      <c r="F71" s="16" t="s">
        <v>132</v>
      </c>
    </row>
    <row r="72" spans="1:6" x14ac:dyDescent="0.2">
      <c r="A72" s="2" t="s">
        <v>56</v>
      </c>
      <c r="B72" s="11"/>
      <c r="C72" s="11"/>
      <c r="D72" s="4">
        <v>4626.17</v>
      </c>
      <c r="E72" s="4">
        <v>5000</v>
      </c>
    </row>
    <row r="73" spans="1:6" x14ac:dyDescent="0.2">
      <c r="A73" s="2" t="s">
        <v>57</v>
      </c>
      <c r="B73" s="11"/>
      <c r="C73" s="11"/>
      <c r="D73" s="4">
        <v>1606.68</v>
      </c>
      <c r="E73" s="4">
        <v>1000</v>
      </c>
    </row>
    <row r="74" spans="1:6" x14ac:dyDescent="0.2">
      <c r="A74" s="2" t="s">
        <v>58</v>
      </c>
      <c r="B74" s="11"/>
      <c r="C74" s="11"/>
      <c r="D74" s="4">
        <v>2802.04</v>
      </c>
      <c r="E74" s="4">
        <v>2500</v>
      </c>
    </row>
    <row r="75" spans="1:6" x14ac:dyDescent="0.2">
      <c r="A75" s="2" t="s">
        <v>59</v>
      </c>
      <c r="B75" s="11"/>
      <c r="C75" s="11"/>
      <c r="D75" s="4">
        <v>421.2</v>
      </c>
      <c r="E75" s="4">
        <v>500</v>
      </c>
    </row>
    <row r="76" spans="1:6" x14ac:dyDescent="0.2">
      <c r="A76" s="2" t="s">
        <v>60</v>
      </c>
      <c r="B76" s="11"/>
      <c r="C76" s="11"/>
      <c r="D76" s="4">
        <v>4401.4799999999996</v>
      </c>
      <c r="E76" s="4">
        <v>4000</v>
      </c>
    </row>
    <row r="77" spans="1:6" x14ac:dyDescent="0.2">
      <c r="A77" s="2" t="s">
        <v>61</v>
      </c>
      <c r="B77" s="20"/>
      <c r="C77" s="20"/>
      <c r="D77" s="4">
        <v>2000.46</v>
      </c>
      <c r="E77" s="4">
        <v>4000</v>
      </c>
    </row>
    <row r="78" spans="1:6" x14ac:dyDescent="0.2">
      <c r="A78" s="2" t="s">
        <v>62</v>
      </c>
      <c r="B78" s="11">
        <v>7416.97</v>
      </c>
      <c r="C78" s="11">
        <v>11161.6</v>
      </c>
      <c r="D78" s="5">
        <f>((((((((((D67)+(D68))+(D69))+(D70))+(D71))+(D72))+(D73))+(D74))+(D75))+(D76))+(D77)</f>
        <v>21211.62</v>
      </c>
      <c r="E78" s="5">
        <f>SUM(E68:E77)</f>
        <v>48400</v>
      </c>
    </row>
    <row r="79" spans="1:6" x14ac:dyDescent="0.2">
      <c r="A79" s="2" t="s">
        <v>63</v>
      </c>
      <c r="B79" s="11"/>
      <c r="C79" s="11"/>
      <c r="D79" s="3"/>
      <c r="E79" s="3"/>
    </row>
    <row r="80" spans="1:6" x14ac:dyDescent="0.2">
      <c r="A80" s="2" t="s">
        <v>64</v>
      </c>
      <c r="B80" s="11"/>
      <c r="C80" s="11"/>
      <c r="D80" s="4">
        <v>5521.19</v>
      </c>
      <c r="E80" s="4">
        <v>6000</v>
      </c>
    </row>
    <row r="81" spans="1:7" x14ac:dyDescent="0.2">
      <c r="A81" s="2" t="s">
        <v>65</v>
      </c>
      <c r="B81" s="20"/>
      <c r="C81" s="20"/>
      <c r="D81" s="4">
        <v>155.41</v>
      </c>
      <c r="E81" s="4">
        <v>150</v>
      </c>
    </row>
    <row r="82" spans="1:7" x14ac:dyDescent="0.2">
      <c r="A82" s="2" t="s">
        <v>66</v>
      </c>
      <c r="B82" s="11">
        <v>840.61</v>
      </c>
      <c r="C82" s="11">
        <v>2270.7199999999998</v>
      </c>
      <c r="D82" s="5">
        <f>((D79)+(D80))+(D81)</f>
        <v>5676.5999999999995</v>
      </c>
      <c r="E82" s="5">
        <f>SUM(E80:E81)</f>
        <v>6150</v>
      </c>
    </row>
    <row r="83" spans="1:7" x14ac:dyDescent="0.2">
      <c r="A83" s="2" t="s">
        <v>67</v>
      </c>
      <c r="B83" s="11"/>
      <c r="C83" s="11"/>
      <c r="D83" s="3"/>
      <c r="E83" s="3"/>
      <c r="G83" s="16" t="s">
        <v>134</v>
      </c>
    </row>
    <row r="84" spans="1:7" x14ac:dyDescent="0.2">
      <c r="A84" s="2" t="s">
        <v>68</v>
      </c>
      <c r="B84" s="11"/>
      <c r="C84" s="11"/>
      <c r="D84" s="4">
        <v>3060</v>
      </c>
      <c r="E84" s="4">
        <f>E86*0.0765</f>
        <v>5737.5</v>
      </c>
      <c r="F84" s="35"/>
    </row>
    <row r="85" spans="1:7" x14ac:dyDescent="0.2">
      <c r="A85" s="2" t="s">
        <v>69</v>
      </c>
      <c r="B85" s="11"/>
      <c r="C85" s="11"/>
      <c r="D85" s="4">
        <v>122.94</v>
      </c>
      <c r="E85" s="4">
        <v>200</v>
      </c>
    </row>
    <row r="86" spans="1:7" x14ac:dyDescent="0.2">
      <c r="A86" s="2" t="s">
        <v>70</v>
      </c>
      <c r="B86" s="11"/>
      <c r="C86" s="11"/>
      <c r="D86" s="4">
        <v>40000.07</v>
      </c>
      <c r="E86" s="10">
        <f>55000+25000*0.8</f>
        <v>75000</v>
      </c>
      <c r="F86" s="16" t="s">
        <v>144</v>
      </c>
    </row>
    <row r="87" spans="1:7" x14ac:dyDescent="0.2">
      <c r="A87" s="2" t="s">
        <v>71</v>
      </c>
      <c r="B87" s="11"/>
      <c r="C87" s="11"/>
      <c r="D87" s="4">
        <v>285.01</v>
      </c>
      <c r="E87" s="4">
        <v>400</v>
      </c>
    </row>
    <row r="88" spans="1:7" x14ac:dyDescent="0.2">
      <c r="A88" s="2" t="s">
        <v>72</v>
      </c>
      <c r="B88" s="20"/>
      <c r="C88" s="20"/>
      <c r="D88" s="4">
        <v>411</v>
      </c>
      <c r="E88" s="4">
        <v>750</v>
      </c>
    </row>
    <row r="89" spans="1:7" x14ac:dyDescent="0.2">
      <c r="A89" s="2" t="s">
        <v>73</v>
      </c>
      <c r="B89" s="11">
        <v>34116.519999999997</v>
      </c>
      <c r="C89" s="11">
        <v>34890.61</v>
      </c>
      <c r="D89" s="5">
        <f>(((((D83)+(D84))+(D85))+(D86))+(D87))+(D88)</f>
        <v>43879.020000000004</v>
      </c>
      <c r="E89" s="5">
        <f>SUM(E84:E88)</f>
        <v>82087.5</v>
      </c>
    </row>
    <row r="90" spans="1:7" x14ac:dyDescent="0.2">
      <c r="A90" s="2" t="s">
        <v>74</v>
      </c>
      <c r="B90" s="11"/>
      <c r="C90" s="11"/>
      <c r="D90" s="3"/>
      <c r="E90" s="3"/>
    </row>
    <row r="91" spans="1:7" x14ac:dyDescent="0.2">
      <c r="A91" s="2" t="s">
        <v>75</v>
      </c>
      <c r="B91" s="11"/>
      <c r="C91" s="11"/>
      <c r="D91" s="4">
        <v>4947.8500000000004</v>
      </c>
      <c r="E91" s="4">
        <v>6000</v>
      </c>
    </row>
    <row r="92" spans="1:7" x14ac:dyDescent="0.2">
      <c r="A92" s="2" t="s">
        <v>76</v>
      </c>
      <c r="B92" s="11"/>
      <c r="C92" s="11"/>
      <c r="D92" s="4">
        <v>11368.65</v>
      </c>
      <c r="E92" s="4">
        <v>11500</v>
      </c>
    </row>
    <row r="93" spans="1:7" x14ac:dyDescent="0.2">
      <c r="A93" s="2" t="s">
        <v>77</v>
      </c>
      <c r="B93" s="11"/>
      <c r="C93" s="11"/>
      <c r="D93" s="4">
        <v>15556.58</v>
      </c>
      <c r="E93" s="4">
        <v>14500</v>
      </c>
    </row>
    <row r="94" spans="1:7" x14ac:dyDescent="0.2">
      <c r="A94" s="2" t="s">
        <v>78</v>
      </c>
      <c r="B94" s="11"/>
      <c r="C94" s="11"/>
      <c r="D94" s="4">
        <v>8944.6200000000008</v>
      </c>
      <c r="E94" s="4">
        <v>10000</v>
      </c>
    </row>
    <row r="95" spans="1:7" x14ac:dyDescent="0.2">
      <c r="A95" s="2" t="s">
        <v>79</v>
      </c>
      <c r="B95" s="11"/>
      <c r="C95" s="11"/>
      <c r="D95" s="4">
        <v>13074.57</v>
      </c>
      <c r="E95" s="4">
        <v>12000</v>
      </c>
    </row>
    <row r="96" spans="1:7" x14ac:dyDescent="0.2">
      <c r="A96" s="2" t="s">
        <v>80</v>
      </c>
      <c r="B96" s="11"/>
      <c r="C96" s="11"/>
      <c r="D96" s="4">
        <v>5601.69</v>
      </c>
      <c r="E96" s="4">
        <v>6000</v>
      </c>
      <c r="F96" s="21" t="s">
        <v>119</v>
      </c>
      <c r="G96" s="22" t="s">
        <v>119</v>
      </c>
    </row>
    <row r="97" spans="1:8" x14ac:dyDescent="0.2">
      <c r="A97" s="2" t="s">
        <v>81</v>
      </c>
      <c r="B97" s="38"/>
      <c r="C97" s="38"/>
      <c r="D97" s="4">
        <v>14784.46</v>
      </c>
      <c r="E97" s="4">
        <v>15000</v>
      </c>
      <c r="F97" s="23" t="s">
        <v>117</v>
      </c>
      <c r="G97" s="24" t="s">
        <v>118</v>
      </c>
    </row>
    <row r="98" spans="1:8" s="31" customFormat="1" x14ac:dyDescent="0.2">
      <c r="A98" s="2" t="s">
        <v>142</v>
      </c>
      <c r="B98" s="20"/>
      <c r="C98" s="20"/>
      <c r="D98" s="4"/>
      <c r="E98" s="10">
        <v>18500</v>
      </c>
      <c r="F98" s="23"/>
      <c r="G98" s="24"/>
    </row>
    <row r="99" spans="1:8" x14ac:dyDescent="0.2">
      <c r="A99" s="2" t="s">
        <v>82</v>
      </c>
      <c r="B99" s="11">
        <v>9992.09</v>
      </c>
      <c r="C99" s="11">
        <v>19696.66</v>
      </c>
      <c r="D99" s="5">
        <f>(((((((D90)+(D91))+(D92))+(D93))+(D94))+(D95))+(D96))+(D97)</f>
        <v>74278.420000000013</v>
      </c>
      <c r="E99" s="5">
        <f>SUM(E91:E98)</f>
        <v>93500</v>
      </c>
      <c r="F99" s="25">
        <f>D27-D99</f>
        <v>33765.12999999999</v>
      </c>
      <c r="G99" s="26">
        <f>E27-E99</f>
        <v>36500</v>
      </c>
      <c r="H99" s="47">
        <f>(G99-F99)/F99</f>
        <v>8.0996874586296896E-2</v>
      </c>
    </row>
    <row r="100" spans="1:8" x14ac:dyDescent="0.2">
      <c r="A100" s="2" t="s">
        <v>83</v>
      </c>
      <c r="B100" s="11"/>
      <c r="C100" s="11"/>
      <c r="D100" s="3"/>
      <c r="E100" s="3"/>
    </row>
    <row r="101" spans="1:8" x14ac:dyDescent="0.2">
      <c r="A101" s="2" t="s">
        <v>84</v>
      </c>
      <c r="B101" s="20"/>
      <c r="C101" s="20"/>
      <c r="D101" s="4">
        <v>43.25</v>
      </c>
      <c r="E101" s="4">
        <v>100</v>
      </c>
    </row>
    <row r="102" spans="1:8" x14ac:dyDescent="0.2">
      <c r="A102" s="2" t="s">
        <v>85</v>
      </c>
      <c r="B102" s="11">
        <v>0</v>
      </c>
      <c r="C102" s="11">
        <v>0</v>
      </c>
      <c r="D102" s="5">
        <f>(D100)+(D101)</f>
        <v>43.25</v>
      </c>
      <c r="E102" s="5">
        <f>(E100)+(E101)</f>
        <v>100</v>
      </c>
    </row>
    <row r="103" spans="1:8" x14ac:dyDescent="0.2">
      <c r="A103" s="2" t="s">
        <v>86</v>
      </c>
      <c r="B103" s="11"/>
      <c r="C103" s="11"/>
      <c r="D103" s="3"/>
      <c r="E103" s="3"/>
    </row>
    <row r="104" spans="1:8" x14ac:dyDescent="0.2">
      <c r="A104" s="2" t="s">
        <v>87</v>
      </c>
      <c r="B104" s="11"/>
      <c r="C104" s="11"/>
      <c r="D104" s="4">
        <v>13657.9</v>
      </c>
      <c r="E104" s="4">
        <v>14148</v>
      </c>
    </row>
    <row r="105" spans="1:8" x14ac:dyDescent="0.2">
      <c r="A105" s="2" t="s">
        <v>88</v>
      </c>
      <c r="B105" s="11"/>
      <c r="C105" s="11"/>
      <c r="D105" s="4">
        <v>1355</v>
      </c>
      <c r="E105" s="4">
        <v>3010</v>
      </c>
    </row>
    <row r="106" spans="1:8" x14ac:dyDescent="0.2">
      <c r="A106" s="2" t="s">
        <v>89</v>
      </c>
      <c r="B106" s="20"/>
      <c r="C106" s="20"/>
      <c r="D106" s="4">
        <v>151.4</v>
      </c>
      <c r="E106" s="4">
        <v>303</v>
      </c>
    </row>
    <row r="107" spans="1:8" x14ac:dyDescent="0.2">
      <c r="A107" s="2" t="s">
        <v>90</v>
      </c>
      <c r="B107" s="27">
        <v>0</v>
      </c>
      <c r="C107" s="27">
        <v>6583.99</v>
      </c>
      <c r="D107" s="5">
        <f>(((D103)+(D104))+(D105))+(D106)</f>
        <v>15164.3</v>
      </c>
      <c r="E107" s="5">
        <f>SUM(E104:E106)</f>
        <v>17461</v>
      </c>
    </row>
    <row r="108" spans="1:8" x14ac:dyDescent="0.2">
      <c r="A108" s="2" t="s">
        <v>91</v>
      </c>
      <c r="B108" s="27">
        <v>92642.559999999998</v>
      </c>
      <c r="C108" s="27">
        <v>117577.88</v>
      </c>
      <c r="D108" s="5">
        <f>((((((((D52)+(D58))+(D66))+(D78))+(D82))+(D89))+(D99))+(D102))+(D107)</f>
        <v>253678.17</v>
      </c>
      <c r="E108" s="5">
        <f>((((((((E52)+(E58))+(E66))+(E78))+(E82))+(E89))+(E99))+(E102))+(E107)</f>
        <v>374848.5</v>
      </c>
    </row>
    <row r="109" spans="1:8" x14ac:dyDescent="0.2">
      <c r="A109" s="2" t="s">
        <v>92</v>
      </c>
      <c r="B109" s="11">
        <v>355190.8</v>
      </c>
      <c r="C109" s="12">
        <v>332902.7</v>
      </c>
      <c r="D109" s="34">
        <f>(D46)-(D108)</f>
        <v>166012.09999999995</v>
      </c>
      <c r="E109" s="34">
        <f>(E46)-(E108)</f>
        <v>547.5</v>
      </c>
    </row>
    <row r="110" spans="1:8" x14ac:dyDescent="0.2">
      <c r="A110" s="2" t="s">
        <v>93</v>
      </c>
      <c r="B110" s="11"/>
      <c r="C110" s="11"/>
      <c r="D110" s="3"/>
      <c r="E110" s="3"/>
    </row>
    <row r="111" spans="1:8" x14ac:dyDescent="0.2">
      <c r="A111" s="2" t="s">
        <v>94</v>
      </c>
      <c r="B111" s="11"/>
      <c r="C111" s="11"/>
      <c r="D111" s="3"/>
      <c r="E111" s="3"/>
    </row>
    <row r="112" spans="1:8" x14ac:dyDescent="0.2">
      <c r="A112" s="2" t="s">
        <v>95</v>
      </c>
      <c r="B112" s="11"/>
      <c r="C112" s="11"/>
      <c r="D112" s="4">
        <v>1501.58</v>
      </c>
      <c r="E112" s="4">
        <v>1200</v>
      </c>
    </row>
    <row r="113" spans="1:7" x14ac:dyDescent="0.2">
      <c r="A113" s="2" t="s">
        <v>96</v>
      </c>
      <c r="B113" s="11"/>
      <c r="C113" s="11"/>
      <c r="D113" s="4">
        <v>26.36</v>
      </c>
      <c r="E113" s="4">
        <v>25</v>
      </c>
    </row>
    <row r="114" spans="1:7" x14ac:dyDescent="0.2">
      <c r="A114" s="2" t="s">
        <v>97</v>
      </c>
      <c r="B114" s="11"/>
      <c r="C114" s="11"/>
      <c r="D114" s="4">
        <v>42383.97</v>
      </c>
      <c r="E114" s="4"/>
    </row>
    <row r="115" spans="1:7" x14ac:dyDescent="0.2">
      <c r="A115" s="2" t="s">
        <v>98</v>
      </c>
      <c r="B115" s="11"/>
      <c r="C115" s="11"/>
      <c r="D115" s="4">
        <v>390.61</v>
      </c>
      <c r="E115" s="4"/>
    </row>
    <row r="116" spans="1:7" x14ac:dyDescent="0.2">
      <c r="A116" s="2" t="s">
        <v>99</v>
      </c>
      <c r="B116" s="11"/>
      <c r="C116" s="11"/>
      <c r="D116" s="5">
        <f>((((D111)+(D112))+(D113))+(D114))+(D115)</f>
        <v>44302.520000000004</v>
      </c>
      <c r="E116" s="5">
        <f>((((E111)+(E112))+(E113))+(E114))+(E115)</f>
        <v>1225</v>
      </c>
    </row>
    <row r="117" spans="1:7" x14ac:dyDescent="0.2">
      <c r="A117" s="2" t="s">
        <v>100</v>
      </c>
      <c r="B117" s="11"/>
      <c r="C117" s="11"/>
      <c r="D117" s="5">
        <f>D116</f>
        <v>44302.520000000004</v>
      </c>
      <c r="E117" s="5">
        <f>E116</f>
        <v>1225</v>
      </c>
    </row>
    <row r="118" spans="1:7" x14ac:dyDescent="0.2">
      <c r="A118" s="2" t="s">
        <v>101</v>
      </c>
      <c r="B118" s="11"/>
      <c r="C118" s="11"/>
      <c r="D118" s="5">
        <f>(D117)-(0)</f>
        <v>44302.520000000004</v>
      </c>
      <c r="E118" s="5">
        <f>(E117)-(0)</f>
        <v>1225</v>
      </c>
    </row>
    <row r="119" spans="1:7" x14ac:dyDescent="0.2">
      <c r="A119" s="2" t="s">
        <v>102</v>
      </c>
      <c r="B119" s="11"/>
      <c r="C119" s="11"/>
      <c r="D119" s="6">
        <f>(D109)+(D118)</f>
        <v>210314.61999999994</v>
      </c>
      <c r="E119" s="33">
        <f>(E109)+(E118)</f>
        <v>1772.5</v>
      </c>
    </row>
    <row r="120" spans="1:7" x14ac:dyDescent="0.2">
      <c r="A120" s="2"/>
      <c r="B120" s="11"/>
      <c r="C120" s="11"/>
      <c r="D120" s="3"/>
      <c r="E120" s="3"/>
      <c r="G120" s="32"/>
    </row>
    <row r="121" spans="1:7" ht="25" x14ac:dyDescent="0.2">
      <c r="A121" s="28" t="s">
        <v>122</v>
      </c>
      <c r="B121" s="30">
        <f>B52+B58+B66+B78+B89-B55</f>
        <v>81809.86</v>
      </c>
      <c r="C121" s="30">
        <f>C52+C58+C66+C78+C89-C55</f>
        <v>89026.510000000009</v>
      </c>
      <c r="D121" s="29">
        <f>D52+D58+D66+D78+D89-D55</f>
        <v>158515.6</v>
      </c>
      <c r="E121" s="30">
        <f>E52+E58+E66+E78+E89-E55-E71</f>
        <v>202487.5</v>
      </c>
    </row>
    <row r="122" spans="1:7" x14ac:dyDescent="0.2">
      <c r="A122" s="2"/>
      <c r="B122" s="11"/>
      <c r="C122" s="11"/>
    </row>
    <row r="123" spans="1:7" x14ac:dyDescent="0.2">
      <c r="A123" s="40"/>
      <c r="B123" s="40"/>
      <c r="C123" s="40"/>
      <c r="D123" s="41"/>
      <c r="E123" s="42"/>
    </row>
    <row r="124" spans="1:7" x14ac:dyDescent="0.2">
      <c r="A124" t="s">
        <v>136</v>
      </c>
      <c r="E124" s="13">
        <v>230000</v>
      </c>
    </row>
    <row r="125" spans="1:7" x14ac:dyDescent="0.2">
      <c r="A125" t="s">
        <v>137</v>
      </c>
      <c r="E125" s="13">
        <f>E121*0.5</f>
        <v>101243.75</v>
      </c>
    </row>
    <row r="126" spans="1:7" x14ac:dyDescent="0.2">
      <c r="A126" t="s">
        <v>138</v>
      </c>
      <c r="E126" s="13">
        <v>100000</v>
      </c>
    </row>
    <row r="127" spans="1:7" x14ac:dyDescent="0.2">
      <c r="A127" t="s">
        <v>139</v>
      </c>
      <c r="E127" s="37">
        <f>E124-E125-E126</f>
        <v>28756.25</v>
      </c>
    </row>
    <row r="129" spans="1:5" x14ac:dyDescent="0.2">
      <c r="A129" t="s">
        <v>140</v>
      </c>
      <c r="E129" s="36">
        <v>25000</v>
      </c>
    </row>
  </sheetData>
  <mergeCells count="4">
    <mergeCell ref="A123:E123"/>
    <mergeCell ref="A1:E1"/>
    <mergeCell ref="A2:E2"/>
    <mergeCell ref="A3:E3"/>
  </mergeCells>
  <pageMargins left="0.7" right="0.7" top="0.75" bottom="0.75" header="0.3" footer="0.3"/>
  <pageSetup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91A70-3F0A-A048-AD3D-17D2B3CE4E52}">
  <dimension ref="A1:C9"/>
  <sheetViews>
    <sheetView tabSelected="1" workbookViewId="0">
      <selection activeCell="B10" sqref="B10"/>
    </sheetView>
  </sheetViews>
  <sheetFormatPr baseColWidth="10" defaultRowHeight="15" x14ac:dyDescent="0.2"/>
  <cols>
    <col min="1" max="1" width="22.6640625" customWidth="1"/>
  </cols>
  <sheetData>
    <row r="1" spans="1:3" x14ac:dyDescent="0.2">
      <c r="A1" t="s">
        <v>123</v>
      </c>
    </row>
    <row r="3" spans="1:3" x14ac:dyDescent="0.2">
      <c r="A3" t="s">
        <v>124</v>
      </c>
      <c r="B3">
        <v>5000</v>
      </c>
    </row>
    <row r="4" spans="1:3" x14ac:dyDescent="0.2">
      <c r="A4" t="s">
        <v>125</v>
      </c>
      <c r="B4">
        <v>6510</v>
      </c>
      <c r="C4" t="s">
        <v>127</v>
      </c>
    </row>
    <row r="5" spans="1:3" x14ac:dyDescent="0.2">
      <c r="A5" t="s">
        <v>148</v>
      </c>
      <c r="B5">
        <v>5200</v>
      </c>
    </row>
    <row r="6" spans="1:3" x14ac:dyDescent="0.2">
      <c r="A6" t="s">
        <v>126</v>
      </c>
      <c r="B6">
        <v>5000</v>
      </c>
    </row>
    <row r="7" spans="1:3" x14ac:dyDescent="0.2">
      <c r="A7" t="s">
        <v>129</v>
      </c>
      <c r="B7">
        <v>920</v>
      </c>
    </row>
    <row r="8" spans="1:3" x14ac:dyDescent="0.2">
      <c r="A8" t="s">
        <v>130</v>
      </c>
      <c r="B8" s="48">
        <f>B9-SUM(B3:B7)</f>
        <v>9370</v>
      </c>
    </row>
    <row r="9" spans="1:3" x14ac:dyDescent="0.2">
      <c r="A9" t="s">
        <v>128</v>
      </c>
      <c r="B9">
        <v>32000</v>
      </c>
    </row>
  </sheetData>
  <hyperlinks>
    <hyperlink ref="B8" r:id="rId1" display="=B9-@sum(B3:B7)" xr:uid="{160A1561-BBD8-3549-8A15-1B88624DFFC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Draft Budget</vt:lpstr>
      <vt:lpstr>General maintenance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 Raker</cp:lastModifiedBy>
  <cp:lastPrinted>2022-02-02T18:01:22Z</cp:lastPrinted>
  <dcterms:created xsi:type="dcterms:W3CDTF">2022-01-13T16:39:57Z</dcterms:created>
  <dcterms:modified xsi:type="dcterms:W3CDTF">2022-02-25T16:57:01Z</dcterms:modified>
</cp:coreProperties>
</file>